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netechbr-my.sharepoint.com/personal/diego_arrivabene_benetechbrasil_com_br/Documents/2 - ENGENHARIA/PROJETOS INTERNOS/BTG-23-005 - Treinamento/5 - Posicionamento/"/>
    </mc:Choice>
  </mc:AlternateContent>
  <xr:revisionPtr revIDLastSave="3" documentId="13_ncr:1_{41C676B1-E61B-4BFC-8556-B45DF1BA4DD2}" xr6:coauthVersionLast="47" xr6:coauthVersionMax="47" xr10:uidLastSave="{41AF73FD-E149-4DDD-8CFE-C66C80B4D1B5}"/>
  <workbookProtection workbookAlgorithmName="SHA-512" workbookHashValue="JIIk/EhXQOgdYXOMCvrdIa/uEsoygaV2b8OfHB50vfhJqNuqghiM9ruBmHZelMH5I8c0uOFmqrTwAnGO/1vWig==" workbookSaltValue="LmFCsfnwTdFibxb5+wWAgQ==" workbookSpinCount="100000" lockStructure="1"/>
  <bookViews>
    <workbookView xWindow="-120" yWindow="-120" windowWidth="29040" windowHeight="15720" xr2:uid="{45021209-4E39-4784-A015-98CF3382B49E}"/>
  </bookViews>
  <sheets>
    <sheet name="Posicionamento_BEP" sheetId="2" r:id="rId1"/>
    <sheet name="Dados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8" i="2" l="1"/>
  <c r="G58" i="2"/>
  <c r="F58" i="2"/>
  <c r="E58" i="2"/>
  <c r="D58" i="2"/>
  <c r="H57" i="2"/>
  <c r="G57" i="2"/>
  <c r="F57" i="2"/>
  <c r="E57" i="2"/>
  <c r="D57" i="2"/>
  <c r="G25" i="2"/>
  <c r="F25" i="2"/>
  <c r="E25" i="2"/>
  <c r="D25" i="2"/>
  <c r="H25" i="2"/>
  <c r="H24" i="2"/>
  <c r="G24" i="2"/>
  <c r="F24" i="2"/>
  <c r="E24" i="2"/>
  <c r="D24" i="2"/>
  <c r="G7" i="2"/>
  <c r="D31" i="2" s="1"/>
  <c r="E7" i="2"/>
  <c r="D9" i="2"/>
  <c r="D10" i="2"/>
  <c r="F64" i="2" l="1"/>
  <c r="F65" i="2" s="1"/>
  <c r="F67" i="2" s="1"/>
  <c r="G64" i="2"/>
  <c r="G65" i="2" s="1"/>
  <c r="G67" i="2" s="1"/>
  <c r="F63" i="2"/>
  <c r="E64" i="2"/>
  <c r="E65" i="2" s="1"/>
  <c r="E67" i="2" s="1"/>
  <c r="D63" i="2"/>
  <c r="G63" i="2"/>
  <c r="H64" i="2"/>
  <c r="H65" i="2" s="1"/>
  <c r="H67" i="2" s="1"/>
  <c r="E63" i="2"/>
  <c r="H63" i="2"/>
  <c r="D64" i="2"/>
  <c r="D65" i="2" s="1"/>
  <c r="D66" i="2" s="1"/>
  <c r="F31" i="2"/>
  <c r="F32" i="2" s="1"/>
  <c r="F33" i="2" s="1"/>
  <c r="G30" i="2"/>
  <c r="F30" i="2"/>
  <c r="G31" i="2"/>
  <c r="G32" i="2" s="1"/>
  <c r="G33" i="2" s="1"/>
  <c r="H30" i="2"/>
  <c r="E30" i="2"/>
  <c r="D30" i="2"/>
  <c r="F8" i="2" s="1"/>
  <c r="H31" i="2"/>
  <c r="H32" i="2" s="1"/>
  <c r="H33" i="2" s="1"/>
  <c r="E31" i="2"/>
  <c r="E32" i="2" s="1"/>
  <c r="E33" i="2" s="1"/>
  <c r="D32" i="2"/>
  <c r="D34" i="2" s="1"/>
  <c r="D14" i="2"/>
  <c r="D15" i="2" s="1"/>
  <c r="F66" i="2" l="1"/>
  <c r="G66" i="2"/>
  <c r="E66" i="2"/>
  <c r="D67" i="2"/>
  <c r="H66" i="2"/>
  <c r="D33" i="2"/>
  <c r="H34" i="2"/>
  <c r="E34" i="2"/>
  <c r="F34" i="2"/>
  <c r="G34" i="2"/>
  <c r="D20" i="2"/>
  <c r="D19" i="2"/>
  <c r="H27" i="2" l="1"/>
  <c r="G27" i="2"/>
  <c r="F27" i="2"/>
  <c r="E27" i="2"/>
  <c r="D27" i="2"/>
  <c r="D21" i="2"/>
  <c r="D54" i="2" s="1"/>
  <c r="G26" i="2"/>
  <c r="E26" i="2"/>
  <c r="E35" i="2" s="1"/>
  <c r="D26" i="2"/>
  <c r="D35" i="2" s="1"/>
  <c r="D37" i="2" s="1"/>
  <c r="F26" i="2"/>
  <c r="F35" i="2" s="1"/>
  <c r="H26" i="2"/>
  <c r="H28" i="2" l="1"/>
  <c r="G28" i="2"/>
  <c r="D52" i="2"/>
  <c r="D38" i="2"/>
  <c r="D40" i="2" s="1"/>
  <c r="D42" i="2" s="1"/>
  <c r="D46" i="2" s="1"/>
  <c r="G35" i="2"/>
  <c r="G37" i="2" s="1"/>
  <c r="E28" i="2"/>
  <c r="D36" i="2"/>
  <c r="D28" i="2"/>
  <c r="F28" i="2"/>
  <c r="H35" i="2"/>
  <c r="H37" i="2" s="1"/>
  <c r="E37" i="2"/>
  <c r="E36" i="2"/>
  <c r="F37" i="2"/>
  <c r="F36" i="2"/>
  <c r="D51" i="2" l="1"/>
  <c r="G59" i="2" s="1"/>
  <c r="E38" i="2"/>
  <c r="E39" i="2" s="1"/>
  <c r="F38" i="2"/>
  <c r="F39" i="2" s="1"/>
  <c r="H38" i="2"/>
  <c r="H40" i="2" s="1"/>
  <c r="H42" i="2" s="1"/>
  <c r="H46" i="2" s="1"/>
  <c r="G38" i="2"/>
  <c r="G40" i="2" s="1"/>
  <c r="G42" i="2" s="1"/>
  <c r="G46" i="2" s="1"/>
  <c r="G36" i="2"/>
  <c r="H36" i="2"/>
  <c r="D39" i="2"/>
  <c r="H59" i="2" l="1"/>
  <c r="E60" i="2"/>
  <c r="F60" i="2"/>
  <c r="G60" i="2"/>
  <c r="G61" i="2" s="1"/>
  <c r="H60" i="2"/>
  <c r="D60" i="2"/>
  <c r="F59" i="2"/>
  <c r="D59" i="2"/>
  <c r="E59" i="2"/>
  <c r="E68" i="2" s="1"/>
  <c r="F40" i="2"/>
  <c r="F42" i="2" s="1"/>
  <c r="F46" i="2" s="1"/>
  <c r="E40" i="2"/>
  <c r="E42" i="2" s="1"/>
  <c r="E46" i="2" s="1"/>
  <c r="G68" i="2"/>
  <c r="G39" i="2"/>
  <c r="H39" i="2"/>
  <c r="F61" i="2" l="1"/>
  <c r="F68" i="2"/>
  <c r="E61" i="2"/>
  <c r="D68" i="2"/>
  <c r="D61" i="2"/>
  <c r="H61" i="2"/>
  <c r="H68" i="2"/>
  <c r="B48" i="2"/>
  <c r="E70" i="2"/>
  <c r="E71" i="2" s="1"/>
  <c r="E72" i="2" s="1"/>
  <c r="E69" i="2"/>
  <c r="F70" i="2"/>
  <c r="F71" i="2" s="1"/>
  <c r="F72" i="2" s="1"/>
  <c r="F69" i="2"/>
  <c r="G70" i="2"/>
  <c r="G71" i="2" s="1"/>
  <c r="G72" i="2" s="1"/>
  <c r="G69" i="2"/>
  <c r="D69" i="2" l="1"/>
  <c r="D70" i="2"/>
  <c r="D71" i="2" s="1"/>
  <c r="D72" i="2" s="1"/>
  <c r="H69" i="2"/>
  <c r="H70" i="2"/>
  <c r="H71" i="2" s="1"/>
  <c r="H72" i="2" s="1"/>
  <c r="E73" i="2"/>
  <c r="E75" i="2" s="1"/>
  <c r="E79" i="2" s="1"/>
  <c r="G73" i="2"/>
  <c r="G75" i="2" s="1"/>
  <c r="G79" i="2" s="1"/>
  <c r="F73" i="2"/>
  <c r="F75" i="2" s="1"/>
  <c r="F79" i="2" s="1"/>
  <c r="D73" i="2" l="1"/>
  <c r="D75" i="2" s="1"/>
  <c r="D79" i="2" s="1"/>
  <c r="H73" i="2"/>
  <c r="H75" i="2" s="1"/>
  <c r="H79" i="2" s="1"/>
  <c r="B81" i="2" l="1"/>
</calcChain>
</file>

<file path=xl/sharedStrings.xml><?xml version="1.0" encoding="utf-8"?>
<sst xmlns="http://schemas.openxmlformats.org/spreadsheetml/2006/main" count="161" uniqueCount="71">
  <si>
    <t>mm</t>
  </si>
  <si>
    <t>VELOC. CORREIA</t>
  </si>
  <si>
    <t>deg</t>
  </si>
  <si>
    <t>dX</t>
  </si>
  <si>
    <t>dY</t>
  </si>
  <si>
    <t>POSIÇÃO X</t>
  </si>
  <si>
    <t>POSIÇÃO Y</t>
  </si>
  <si>
    <t>POSIÇÃO Z</t>
  </si>
  <si>
    <t>mm/s</t>
  </si>
  <si>
    <t>s</t>
  </si>
  <si>
    <t>ANG. ABRAÇAMENTO</t>
  </si>
  <si>
    <t>ANG. DESCOLAMENTO</t>
  </si>
  <si>
    <t>RELAÇÃO AO CENTRO EIXO</t>
  </si>
  <si>
    <t>RELAÇÃO PONTO REF. LÂMINA</t>
  </si>
  <si>
    <t>REFERENTE A TRAJETÓRIA</t>
  </si>
  <si>
    <t>dx DO PONTO</t>
  </si>
  <si>
    <t>dy DO PONTO</t>
  </si>
  <si>
    <t>DIF. X P. REF. @ P. DESCOL.</t>
  </si>
  <si>
    <t>PROJ. Y</t>
  </si>
  <si>
    <t>PROJ. H</t>
  </si>
  <si>
    <t>TEMPO DE QUEDA</t>
  </si>
  <si>
    <t>QUEDA LIVRE Y</t>
  </si>
  <si>
    <t xml:space="preserve">LOCALIZ. Y DA TRAJ. </t>
  </si>
  <si>
    <t>DIST. ENTRE LÂMINA E TRAJ.</t>
  </si>
  <si>
    <t>DIST. MÍNIMA</t>
  </si>
  <si>
    <t>ÂNGULO DA CORREIA</t>
  </si>
  <si>
    <t>DIST. ENTRE EIXO E CORREIA</t>
  </si>
  <si>
    <t>ALTURA DA LÂMINA</t>
  </si>
  <si>
    <t>ÂNG. LÂMINA E QUADRANTE</t>
  </si>
  <si>
    <t>-</t>
  </si>
  <si>
    <t>P1</t>
  </si>
  <si>
    <t>P2</t>
  </si>
  <si>
    <t>P3</t>
  </si>
  <si>
    <t>P4</t>
  </si>
  <si>
    <t>P5</t>
  </si>
  <si>
    <t>RASPADOR</t>
  </si>
  <si>
    <t>BEP2-1</t>
  </si>
  <si>
    <t>BEP1-1</t>
  </si>
  <si>
    <t>BEP2-2</t>
  </si>
  <si>
    <t>BEP5-3</t>
  </si>
  <si>
    <t>ALT.LÂM</t>
  </si>
  <si>
    <t>P1-dX</t>
  </si>
  <si>
    <t>P1-dY</t>
  </si>
  <si>
    <t>P2-dX</t>
  </si>
  <si>
    <t>P2-dY</t>
  </si>
  <si>
    <t>P3-dX</t>
  </si>
  <si>
    <t>P3-dY</t>
  </si>
  <si>
    <t>P4-dX</t>
  </si>
  <si>
    <t>P4-dY</t>
  </si>
  <si>
    <t>P5-dX</t>
  </si>
  <si>
    <t>P5-dY</t>
  </si>
  <si>
    <t>Ø TAMBOR</t>
  </si>
  <si>
    <t>PONTO DE REFERÊNCIA</t>
  </si>
  <si>
    <t>* Obrigatório</t>
  </si>
  <si>
    <t>*</t>
  </si>
  <si>
    <t>DIMENSÃO NA DIAGONAL</t>
  </si>
  <si>
    <t>DIMENSÃO NA HORIZONTAL</t>
  </si>
  <si>
    <t>DIMENSÃO NA VERTICAL</t>
  </si>
  <si>
    <t>MODELO DO RASPADOR</t>
  </si>
  <si>
    <t>ESPESSURA DA CORREIA</t>
  </si>
  <si>
    <t>TAMBOR + REVEST.</t>
  </si>
  <si>
    <t>ØD</t>
  </si>
  <si>
    <t>e</t>
  </si>
  <si>
    <t>v</t>
  </si>
  <si>
    <t>α</t>
  </si>
  <si>
    <t>β</t>
  </si>
  <si>
    <t>X</t>
  </si>
  <si>
    <t>Y</t>
  </si>
  <si>
    <t>Z</t>
  </si>
  <si>
    <t>BASEADO NA PONTA DA LÂMINA</t>
  </si>
  <si>
    <t>BASEADO NA ALTURA DO EIXO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</si>
</sst>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0" fillId="3" borderId="7" xfId="0" applyNumberForma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164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1" fontId="0" fillId="3" borderId="0" xfId="0" applyNumberFormat="1" applyFill="1" applyAlignment="1">
      <alignment horizontal="center" vertical="center"/>
    </xf>
    <xf numFmtId="1" fontId="0" fillId="4" borderId="0" xfId="0" applyNumberFormat="1" applyFill="1" applyAlignment="1" applyProtection="1">
      <alignment horizontal="center" vertical="center"/>
      <protection locked="0"/>
    </xf>
    <xf numFmtId="164" fontId="0" fillId="3" borderId="2" xfId="0" applyNumberFormat="1" applyFill="1" applyBorder="1" applyAlignment="1">
      <alignment horizontal="center" vertical="center"/>
    </xf>
    <xf numFmtId="0" fontId="0" fillId="4" borderId="0" xfId="0" applyFill="1" applyAlignment="1" applyProtection="1">
      <alignment vertical="center"/>
      <protection locked="0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1090950</xdr:rowOff>
    </xdr:from>
    <xdr:to>
      <xdr:col>4</xdr:col>
      <xdr:colOff>267900</xdr:colOff>
      <xdr:row>1</xdr:row>
      <xdr:rowOff>3143250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041EF68-3F80-E1A3-1110-D0C491A9AC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4986"/>
        <a:stretch/>
      </xdr:blipFill>
      <xdr:spPr>
        <a:xfrm>
          <a:off x="685800" y="1281450"/>
          <a:ext cx="2592000" cy="205230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66674</xdr:colOff>
      <xdr:row>1</xdr:row>
      <xdr:rowOff>76200</xdr:rowOff>
    </xdr:from>
    <xdr:to>
      <xdr:col>4</xdr:col>
      <xdr:colOff>544424</xdr:colOff>
      <xdr:row>1</xdr:row>
      <xdr:rowOff>1012200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D1D008C3-9AFE-B5B9-8F20-148510FA2C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4" y="266700"/>
          <a:ext cx="3240000" cy="93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8</xdr:row>
      <xdr:rowOff>9525</xdr:rowOff>
    </xdr:from>
    <xdr:to>
      <xdr:col>8</xdr:col>
      <xdr:colOff>257776</xdr:colOff>
      <xdr:row>21</xdr:row>
      <xdr:rowOff>78787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E91A18D-59EE-42E3-B859-D5EF761E4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9950" y="1533525"/>
          <a:ext cx="2029426" cy="2545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1AA-2E9D-4F51-A015-6E3B26A6A28F}">
  <dimension ref="A1:L82"/>
  <sheetViews>
    <sheetView showGridLines="0" tabSelected="1" topLeftCell="A2" workbookViewId="0">
      <selection activeCell="C7" sqref="C7"/>
    </sheetView>
  </sheetViews>
  <sheetFormatPr defaultColWidth="0" defaultRowHeight="15" zeroHeight="1" x14ac:dyDescent="0.25"/>
  <cols>
    <col min="1" max="1" width="3.7109375" style="1" customWidth="1"/>
    <col min="2" max="2" width="4" style="2" customWidth="1"/>
    <col min="3" max="3" width="28.28515625" style="1" bestFit="1" customWidth="1"/>
    <col min="4" max="5" width="9.140625" style="2" customWidth="1"/>
    <col min="6" max="6" width="3.7109375" style="1" customWidth="1"/>
    <col min="7" max="11" width="9.140625" style="1" hidden="1" customWidth="1"/>
    <col min="12" max="12" width="9.5703125" style="1" hidden="1" customWidth="1"/>
    <col min="13" max="16384" width="9.140625" style="1" hidden="1"/>
  </cols>
  <sheetData>
    <row r="1" spans="2:8" x14ac:dyDescent="0.25"/>
    <row r="2" spans="2:8" ht="249.95" customHeight="1" x14ac:dyDescent="0.25">
      <c r="B2" s="30"/>
      <c r="C2" s="31"/>
      <c r="D2" s="31"/>
      <c r="E2" s="32"/>
    </row>
    <row r="3" spans="2:8" ht="15" customHeight="1" x14ac:dyDescent="0.25"/>
    <row r="4" spans="2:8" ht="15" customHeight="1" x14ac:dyDescent="0.25">
      <c r="B4" s="28" t="s">
        <v>58</v>
      </c>
      <c r="C4" s="29"/>
      <c r="D4" s="16" t="s">
        <v>37</v>
      </c>
      <c r="E4" s="5" t="s">
        <v>29</v>
      </c>
      <c r="F4" s="9" t="s">
        <v>54</v>
      </c>
    </row>
    <row r="5" spans="2:8" ht="15" customHeight="1" x14ac:dyDescent="0.25">
      <c r="B5" s="12" t="s">
        <v>61</v>
      </c>
      <c r="C5" s="1" t="s">
        <v>60</v>
      </c>
      <c r="D5" s="17">
        <v>400</v>
      </c>
      <c r="E5" s="6" t="s">
        <v>0</v>
      </c>
      <c r="F5" s="9" t="s">
        <v>54</v>
      </c>
    </row>
    <row r="6" spans="2:8" ht="15" customHeight="1" x14ac:dyDescent="0.25">
      <c r="B6" s="12" t="s">
        <v>62</v>
      </c>
      <c r="C6" s="1" t="s">
        <v>59</v>
      </c>
      <c r="D6" s="17">
        <v>15</v>
      </c>
      <c r="E6" s="6" t="s">
        <v>0</v>
      </c>
      <c r="F6" s="9" t="s">
        <v>54</v>
      </c>
    </row>
    <row r="7" spans="2:8" ht="15" customHeight="1" x14ac:dyDescent="0.25">
      <c r="B7" s="12" t="s">
        <v>63</v>
      </c>
      <c r="C7" s="24" t="s">
        <v>1</v>
      </c>
      <c r="D7" s="17">
        <v>1.5</v>
      </c>
      <c r="E7" s="6" t="str">
        <f>IF(C7="VELOC. CORREIA","m/s",IF(C7="ROT. SAÍDA REDUTOR","RPM",""))</f>
        <v>m/s</v>
      </c>
      <c r="F7" s="9" t="s">
        <v>54</v>
      </c>
      <c r="G7" s="20">
        <f>IF(C7="VELOC. CORREIA",D7*1000,IF(C7="ROT. SAÍDA REDUTOR",PI()*D5*D7/60,""))</f>
        <v>1500</v>
      </c>
      <c r="H7" s="1" t="s">
        <v>8</v>
      </c>
    </row>
    <row r="8" spans="2:8" ht="15" customHeight="1" x14ac:dyDescent="0.25">
      <c r="B8" s="13" t="s">
        <v>65</v>
      </c>
      <c r="C8" s="11" t="s">
        <v>25</v>
      </c>
      <c r="D8" s="18">
        <v>10</v>
      </c>
      <c r="E8" s="7" t="s">
        <v>2</v>
      </c>
      <c r="F8" s="9" t="str">
        <f>IF(D30&lt;1,"","*")</f>
        <v>*</v>
      </c>
    </row>
    <row r="9" spans="2:8" ht="15" hidden="1" customHeight="1" x14ac:dyDescent="0.25">
      <c r="C9" s="1" t="s">
        <v>26</v>
      </c>
      <c r="D9" s="4">
        <f>HLOOKUP(INT(D5/50)*50,Dados!A2:AZ6,IF(D4=Dados!A3,2,IF(D4=Dados!A4,3,IF(D4=Dados!A5,4,IF(D4=Dados!A6,5,"")))))</f>
        <v>90</v>
      </c>
      <c r="E9" s="2" t="s">
        <v>0</v>
      </c>
    </row>
    <row r="10" spans="2:8" ht="15" hidden="1" customHeight="1" x14ac:dyDescent="0.25">
      <c r="C10" s="1" t="s">
        <v>27</v>
      </c>
      <c r="D10" s="4">
        <f>VLOOKUP(D4,Dados!A2:AZ6,2,FALSE)</f>
        <v>221.8</v>
      </c>
      <c r="E10" s="2" t="s">
        <v>0</v>
      </c>
    </row>
    <row r="11" spans="2:8" ht="15" customHeight="1" x14ac:dyDescent="0.25">
      <c r="B11" s="15" t="s">
        <v>53</v>
      </c>
      <c r="C11" s="9"/>
    </row>
    <row r="12" spans="2:8" ht="15" hidden="1" customHeight="1" x14ac:dyDescent="0.25">
      <c r="C12" s="9"/>
    </row>
    <row r="13" spans="2:8" ht="15" hidden="1" customHeight="1" x14ac:dyDescent="0.25">
      <c r="C13" s="1" t="s">
        <v>12</v>
      </c>
    </row>
    <row r="14" spans="2:8" ht="15" hidden="1" customHeight="1" x14ac:dyDescent="0.25">
      <c r="C14" s="1" t="s">
        <v>3</v>
      </c>
      <c r="D14" s="2">
        <f>(D10^2-(D5/2+D6+D9)^2+(D5/2+D6)^2)/(-2*(D5/2+D6))</f>
        <v>-5.5703255813953607</v>
      </c>
      <c r="E14" s="2" t="s">
        <v>0</v>
      </c>
    </row>
    <row r="15" spans="2:8" ht="15" hidden="1" customHeight="1" x14ac:dyDescent="0.25">
      <c r="C15" s="1" t="s">
        <v>4</v>
      </c>
      <c r="D15" s="2">
        <f>-SQRT(D10^2-D14^2)</f>
        <v>-221.73004188182813</v>
      </c>
      <c r="E15" s="2" t="s">
        <v>0</v>
      </c>
    </row>
    <row r="16" spans="2:8" ht="15" customHeight="1" x14ac:dyDescent="0.25"/>
    <row r="17" spans="2:9" ht="15" customHeight="1" x14ac:dyDescent="0.25">
      <c r="B17" s="33" t="s">
        <v>69</v>
      </c>
      <c r="C17" s="34"/>
      <c r="D17" s="34"/>
      <c r="E17" s="35"/>
    </row>
    <row r="18" spans="2:9" ht="15" customHeight="1" x14ac:dyDescent="0.25">
      <c r="B18" s="14" t="s">
        <v>64</v>
      </c>
      <c r="C18" s="10" t="s">
        <v>28</v>
      </c>
      <c r="D18" s="16">
        <v>0</v>
      </c>
      <c r="E18" s="5" t="s">
        <v>2</v>
      </c>
      <c r="F18" s="9" t="s">
        <v>54</v>
      </c>
    </row>
    <row r="19" spans="2:9" ht="15" customHeight="1" x14ac:dyDescent="0.25">
      <c r="B19" s="12" t="s">
        <v>66</v>
      </c>
      <c r="C19" s="1" t="s">
        <v>56</v>
      </c>
      <c r="D19" s="21">
        <f>COS(RADIANS(D18))*((D5/2)+D6+D14+TAN(RADIANS(D18))*D15)</f>
        <v>209.42967441860463</v>
      </c>
      <c r="E19" s="6" t="s">
        <v>0</v>
      </c>
    </row>
    <row r="20" spans="2:9" ht="15" customHeight="1" x14ac:dyDescent="0.25">
      <c r="B20" s="12" t="s">
        <v>67</v>
      </c>
      <c r="C20" s="1" t="s">
        <v>57</v>
      </c>
      <c r="D20" s="21">
        <f>-(SIN(RADIANS(D18))*((D5/2)+D6+D14+TAN(RADIANS(D18))*D15)-(D15/COS(RADIANS(D18))))</f>
        <v>-221.73004188182813</v>
      </c>
      <c r="E20" s="6" t="s">
        <v>0</v>
      </c>
      <c r="G20" s="19"/>
    </row>
    <row r="21" spans="2:9" ht="15" customHeight="1" x14ac:dyDescent="0.25">
      <c r="B21" s="13" t="s">
        <v>68</v>
      </c>
      <c r="C21" s="11" t="s">
        <v>55</v>
      </c>
      <c r="D21" s="8">
        <f>SQRT(D19^2+D20^2)</f>
        <v>305</v>
      </c>
      <c r="E21" s="7" t="s">
        <v>0</v>
      </c>
    </row>
    <row r="22" spans="2:9" ht="15" customHeight="1" x14ac:dyDescent="0.25">
      <c r="B22" s="15" t="s">
        <v>53</v>
      </c>
    </row>
    <row r="23" spans="2:9" hidden="1" x14ac:dyDescent="0.25">
      <c r="C23" s="1" t="s">
        <v>13</v>
      </c>
      <c r="D23" s="2" t="s">
        <v>30</v>
      </c>
      <c r="E23" s="2" t="s">
        <v>31</v>
      </c>
      <c r="F23" s="2" t="s">
        <v>32</v>
      </c>
      <c r="G23" s="2" t="s">
        <v>33</v>
      </c>
      <c r="H23" s="2" t="s">
        <v>34</v>
      </c>
    </row>
    <row r="24" spans="2:9" hidden="1" x14ac:dyDescent="0.25">
      <c r="C24" s="1" t="s">
        <v>3</v>
      </c>
      <c r="D24" s="4">
        <f>VLOOKUP($D$4,Dados!$A$2:$AZ$6,3,FALSE)</f>
        <v>0</v>
      </c>
      <c r="E24" s="4">
        <f>VLOOKUP($D$4,Dados!$A$2:$AZ$6,5,FALSE)</f>
        <v>21.3</v>
      </c>
      <c r="F24" s="4">
        <f>VLOOKUP($D$4,Dados!$A$2:$AZ$6,7,FALSE)</f>
        <v>36.619999999999997</v>
      </c>
      <c r="G24" s="4">
        <f>VLOOKUP($D$4,Dados!$A$2:$AZ$6,9,FALSE)</f>
        <v>44.88</v>
      </c>
      <c r="H24" s="4">
        <f>VLOOKUP($D$4,Dados!$A$2:$AZ$6,11,FALSE)</f>
        <v>45.57</v>
      </c>
      <c r="I24" s="2" t="s">
        <v>0</v>
      </c>
    </row>
    <row r="25" spans="2:9" hidden="1" x14ac:dyDescent="0.25">
      <c r="C25" s="1" t="s">
        <v>4</v>
      </c>
      <c r="D25" s="4">
        <f>VLOOKUP($D$4,Dados!$A$2:$AZ$6,4,FALSE)</f>
        <v>221.8</v>
      </c>
      <c r="E25" s="4">
        <f>VLOOKUP($D$4,Dados!$A$2:$AZ$6,6,FALSE)</f>
        <v>199.35</v>
      </c>
      <c r="F25" s="4">
        <f>VLOOKUP($D$4,Dados!$A$2:$AZ$6,8,FALSE)</f>
        <v>172.23</v>
      </c>
      <c r="G25" s="4">
        <f>VLOOKUP($D$4,Dados!$A$2:$AZ$6,10,FALSE)</f>
        <v>142.19</v>
      </c>
      <c r="H25" s="4">
        <f>VLOOKUP($D$4,Dados!$A$2:$AZ$6,12,FALSE)</f>
        <v>111.05</v>
      </c>
      <c r="I25" s="2" t="s">
        <v>0</v>
      </c>
    </row>
    <row r="26" spans="2:9" hidden="1" x14ac:dyDescent="0.25">
      <c r="C26" s="1" t="s">
        <v>5</v>
      </c>
      <c r="D26" s="3">
        <f>$D$19+(COS(RADIANS(90-$D$18+DEGREES(ATAN($D$14/-$D$15))-DEGREES(ATAN(D24/D25))))*(SQRT(D24^2+D25^2)))</f>
        <v>215.00000000000003</v>
      </c>
      <c r="E26" s="3">
        <f>$D$19+(COS(RADIANS(90-$D$18+DEGREES(ATAN($D$14/-$D$15))-DEGREES(ATAN(E24/E25))))*(SQRT(E24^2+E25^2)))</f>
        <v>235.72946836240135</v>
      </c>
      <c r="F26" s="3">
        <f>$D$19+(COS(RADIANS(90-$D$18+DEGREES(ATAN($D$14/-$D$15))-DEGREES(ATAN(F24/F25))))*(SQRT(F24^2+F25^2)))</f>
        <v>250.36353965122987</v>
      </c>
      <c r="G26" s="3">
        <f>$D$19+(COS(RADIANS(90-$D$18+DEGREES(ATAN($D$14/-$D$15))-DEGREES(ATAN(G24/G25))))*(SQRT(G24^2+G25^2)))</f>
        <v>257.86650432877173</v>
      </c>
      <c r="H26" s="3">
        <f>$D$19+(COS(RADIANS(90-$D$18+DEGREES(ATAN($D$14/-$D$15))-DEGREES(ATAN(H24/H25))))*(SQRT(H24^2+H25^2)))</f>
        <v>257.77423106589436</v>
      </c>
      <c r="I26" s="2" t="s">
        <v>0</v>
      </c>
    </row>
    <row r="27" spans="2:9" hidden="1" x14ac:dyDescent="0.25">
      <c r="C27" s="1" t="s">
        <v>6</v>
      </c>
      <c r="D27" s="3">
        <f>$D$20+(SIN(RADIANS(90-$D$18+DEGREES(ATAN($D$14/-$D$15))-DEGREES(ATAN(D24/D25))))*(SQRT(D24^2+D25^2)))</f>
        <v>0</v>
      </c>
      <c r="E27" s="3">
        <f>$D$20+(SIN(RADIANS(90-$D$18+DEGREES(ATAN($D$14/-$D$15))-DEGREES(ATAN(E24/E25))))*(SQRT(E24^2+E25^2)))</f>
        <v>-22.977851105188307</v>
      </c>
      <c r="F27" s="3">
        <f>$D$20+(SIN(RADIANS(90-$D$18+DEGREES(ATAN($D$14/-$D$15))-DEGREES(ATAN(F24/F25))))*(SQRT(F24^2+F25^2)))</f>
        <v>-50.474046433151159</v>
      </c>
      <c r="G27" s="3">
        <f>$D$20+(SIN(RADIANS(90-$D$18+DEGREES(ATAN($D$14/-$D$15))-DEGREES(ATAN(G24/G25))))*(SQRT(G24^2+G25^2)))</f>
        <v>-80.712014636182886</v>
      </c>
      <c r="H27" s="3">
        <f>$D$20+(SIN(RADIANS(90-$D$18+DEGREES(ATAN($D$14/-$D$15))-DEGREES(ATAN(H24/H25))))*(SQRT(H24^2+H25^2)))</f>
        <v>-111.85952152911025</v>
      </c>
      <c r="I27" s="2" t="s">
        <v>0</v>
      </c>
    </row>
    <row r="28" spans="2:9" hidden="1" x14ac:dyDescent="0.25">
      <c r="C28" s="1" t="s">
        <v>7</v>
      </c>
      <c r="D28" s="3">
        <f>SQRT(D26^2+D27^2)</f>
        <v>215.00000000000003</v>
      </c>
      <c r="E28" s="3">
        <f t="shared" ref="E28:H28" si="0">SQRT(E26^2+E27^2)</f>
        <v>236.84670970024595</v>
      </c>
      <c r="F28" s="3">
        <f t="shared" si="0"/>
        <v>255.40072699588944</v>
      </c>
      <c r="G28" s="3">
        <f t="shared" si="0"/>
        <v>270.20281893676059</v>
      </c>
      <c r="H28" s="3">
        <f t="shared" si="0"/>
        <v>280.99841059752379</v>
      </c>
      <c r="I28" s="2" t="s">
        <v>0</v>
      </c>
    </row>
    <row r="29" spans="2:9" hidden="1" x14ac:dyDescent="0.25">
      <c r="I29" s="2"/>
    </row>
    <row r="30" spans="2:9" hidden="1" x14ac:dyDescent="0.25">
      <c r="C30" s="1" t="s">
        <v>14</v>
      </c>
      <c r="D30" s="1">
        <f>(($G$7^2)/(9800*(($D$5/2)+$D$6)))</f>
        <v>1.0678690080683435</v>
      </c>
      <c r="E30" s="1">
        <f t="shared" ref="E30:H30" si="1">(($G$7^2)/(9800*(($D$5/2)+$D$6)))</f>
        <v>1.0678690080683435</v>
      </c>
      <c r="F30" s="1">
        <f t="shared" si="1"/>
        <v>1.0678690080683435</v>
      </c>
      <c r="G30" s="1">
        <f t="shared" si="1"/>
        <v>1.0678690080683435</v>
      </c>
      <c r="H30" s="1">
        <f t="shared" si="1"/>
        <v>1.0678690080683435</v>
      </c>
      <c r="I30" s="2" t="s">
        <v>29</v>
      </c>
    </row>
    <row r="31" spans="2:9" hidden="1" x14ac:dyDescent="0.25">
      <c r="C31" s="1" t="s">
        <v>10</v>
      </c>
      <c r="D31" s="2" t="str">
        <f>IFERROR(DEGREES(ACOS(($G$7^2)/(9800*(($D$5/2)+$D$6)))),"")</f>
        <v/>
      </c>
      <c r="E31" s="2" t="str">
        <f t="shared" ref="E31:H31" si="2">IFERROR(DEGREES(ACOS(($G$7^2)/(9800*(($D$5/2)+$D$6)))),"")</f>
        <v/>
      </c>
      <c r="F31" s="2" t="str">
        <f t="shared" si="2"/>
        <v/>
      </c>
      <c r="G31" s="2" t="str">
        <f t="shared" si="2"/>
        <v/>
      </c>
      <c r="H31" s="2" t="str">
        <f t="shared" si="2"/>
        <v/>
      </c>
      <c r="I31" s="2" t="s">
        <v>2</v>
      </c>
    </row>
    <row r="32" spans="2:9" hidden="1" x14ac:dyDescent="0.25">
      <c r="C32" s="1" t="s">
        <v>11</v>
      </c>
      <c r="D32" s="2">
        <f>IFERROR(90-D31,90+$D$8)</f>
        <v>100</v>
      </c>
      <c r="E32" s="2">
        <f t="shared" ref="E32:H32" si="3">IFERROR(90-E31,90+$D$8)</f>
        <v>100</v>
      </c>
      <c r="F32" s="2">
        <f t="shared" si="3"/>
        <v>100</v>
      </c>
      <c r="G32" s="2">
        <f t="shared" si="3"/>
        <v>100</v>
      </c>
      <c r="H32" s="2">
        <f t="shared" si="3"/>
        <v>100</v>
      </c>
      <c r="I32" s="2" t="s">
        <v>2</v>
      </c>
    </row>
    <row r="33" spans="2:9" hidden="1" x14ac:dyDescent="0.25">
      <c r="C33" s="1" t="s">
        <v>15</v>
      </c>
      <c r="D33" s="2">
        <f>IFERROR((($D$5/2)+$D$6)*COS(RADIANS(D32)),"")</f>
        <v>-37.334358198390014</v>
      </c>
      <c r="E33" s="2">
        <f t="shared" ref="E33:H33" si="4">IFERROR((($D$5/2)+$D$6)*COS(RADIANS(E32)),"")</f>
        <v>-37.334358198390014</v>
      </c>
      <c r="F33" s="2">
        <f t="shared" si="4"/>
        <v>-37.334358198390014</v>
      </c>
      <c r="G33" s="2">
        <f t="shared" si="4"/>
        <v>-37.334358198390014</v>
      </c>
      <c r="H33" s="2">
        <f t="shared" si="4"/>
        <v>-37.334358198390014</v>
      </c>
      <c r="I33" s="2" t="s">
        <v>0</v>
      </c>
    </row>
    <row r="34" spans="2:9" hidden="1" x14ac:dyDescent="0.25">
      <c r="C34" s="1" t="s">
        <v>16</v>
      </c>
      <c r="D34" s="2">
        <f>IFERROR((($D$5/2)+$D$6)*SIN(RADIANS(D32)),"")</f>
        <v>211.73366689762472</v>
      </c>
      <c r="E34" s="2">
        <f t="shared" ref="E34:H34" si="5">IFERROR((($D$5/2)+$D$6)*SIN(RADIANS(E32)),"")</f>
        <v>211.73366689762472</v>
      </c>
      <c r="F34" s="2">
        <f t="shared" si="5"/>
        <v>211.73366689762472</v>
      </c>
      <c r="G34" s="2">
        <f t="shared" si="5"/>
        <v>211.73366689762472</v>
      </c>
      <c r="H34" s="2">
        <f t="shared" si="5"/>
        <v>211.73366689762472</v>
      </c>
      <c r="I34" s="2" t="s">
        <v>0</v>
      </c>
    </row>
    <row r="35" spans="2:9" hidden="1" x14ac:dyDescent="0.25">
      <c r="C35" s="1" t="s">
        <v>17</v>
      </c>
      <c r="D35" s="3">
        <f>IFERROR(D26-D33,"")</f>
        <v>252.33435819839005</v>
      </c>
      <c r="E35" s="3">
        <f t="shared" ref="E35:H35" si="6">IFERROR(E26-E33,"")</f>
        <v>273.06382656079137</v>
      </c>
      <c r="F35" s="3">
        <f t="shared" si="6"/>
        <v>287.69789784961989</v>
      </c>
      <c r="G35" s="3">
        <f t="shared" si="6"/>
        <v>295.20086252716175</v>
      </c>
      <c r="H35" s="3">
        <f t="shared" si="6"/>
        <v>295.10858926428438</v>
      </c>
      <c r="I35" s="2" t="s">
        <v>0</v>
      </c>
    </row>
    <row r="36" spans="2:9" hidden="1" x14ac:dyDescent="0.25">
      <c r="C36" s="1" t="s">
        <v>18</v>
      </c>
      <c r="D36" s="2">
        <f>IFERROR(D35/TAN(RADIANS(D32)),"")</f>
        <v>-44.493355510130399</v>
      </c>
      <c r="E36" s="2">
        <f t="shared" ref="E36:H36" si="7">IFERROR(E35/TAN(RADIANS(E32)),"")</f>
        <v>-48.148520078164275</v>
      </c>
      <c r="F36" s="2">
        <f t="shared" si="7"/>
        <v>-50.728901683995836</v>
      </c>
      <c r="G36" s="2">
        <f t="shared" si="7"/>
        <v>-52.051876791949056</v>
      </c>
      <c r="H36" s="2">
        <f t="shared" si="7"/>
        <v>-52.035606526105774</v>
      </c>
      <c r="I36" s="2" t="s">
        <v>0</v>
      </c>
    </row>
    <row r="37" spans="2:9" hidden="1" x14ac:dyDescent="0.25">
      <c r="C37" s="1" t="s">
        <v>19</v>
      </c>
      <c r="D37" s="2">
        <f>IFERROR(D35/SIN(RADIANS(D32)),"")</f>
        <v>256.22702240775516</v>
      </c>
      <c r="E37" s="2">
        <f t="shared" ref="E37:H37" si="8">IFERROR(E35/SIN(RADIANS(E32)),"")</f>
        <v>277.27627623318108</v>
      </c>
      <c r="F37" s="2">
        <f t="shared" si="8"/>
        <v>292.13610166009067</v>
      </c>
      <c r="G37" s="2">
        <f t="shared" si="8"/>
        <v>299.75481166170545</v>
      </c>
      <c r="H37" s="2">
        <f t="shared" si="8"/>
        <v>299.66111493501421</v>
      </c>
      <c r="I37" s="2" t="s">
        <v>0</v>
      </c>
    </row>
    <row r="38" spans="2:9" hidden="1" x14ac:dyDescent="0.25">
      <c r="C38" s="1" t="s">
        <v>20</v>
      </c>
      <c r="D38" s="2">
        <f>IFERROR(D37/$G$7,"")</f>
        <v>0.17081801493850343</v>
      </c>
      <c r="E38" s="2">
        <f t="shared" ref="E38:H38" si="9">IFERROR(E37/$G$7,"")</f>
        <v>0.18485085082212072</v>
      </c>
      <c r="F38" s="2">
        <f t="shared" si="9"/>
        <v>0.19475740110672712</v>
      </c>
      <c r="G38" s="2">
        <f t="shared" si="9"/>
        <v>0.19983654110780363</v>
      </c>
      <c r="H38" s="2">
        <f t="shared" si="9"/>
        <v>0.19977407662334282</v>
      </c>
      <c r="I38" s="2" t="s">
        <v>9</v>
      </c>
    </row>
    <row r="39" spans="2:9" hidden="1" x14ac:dyDescent="0.25">
      <c r="C39" s="1" t="s">
        <v>21</v>
      </c>
      <c r="D39" s="2">
        <f>IFERROR(9800*D38^2/2,"")</f>
        <v>142.97609171490083</v>
      </c>
      <c r="E39" s="2">
        <f t="shared" ref="E39:H39" si="10">IFERROR(9800*E38^2/2,"")</f>
        <v>167.43220154334344</v>
      </c>
      <c r="F39" s="2">
        <f t="shared" si="10"/>
        <v>185.85918190064831</v>
      </c>
      <c r="G39" s="2">
        <f t="shared" si="10"/>
        <v>195.67975149346137</v>
      </c>
      <c r="H39" s="2">
        <f t="shared" si="10"/>
        <v>195.55744028447532</v>
      </c>
      <c r="I39" s="2" t="s">
        <v>0</v>
      </c>
    </row>
    <row r="40" spans="2:9" hidden="1" x14ac:dyDescent="0.25">
      <c r="C40" s="1" t="s">
        <v>22</v>
      </c>
      <c r="D40" s="2">
        <f>IFERROR((($D$5/2)+$D$6)*SIN(RADIANS(D32))-(D35/TAN(RADIANS(D32)))-(9800*D38^2/2),"")</f>
        <v>113.25093069285427</v>
      </c>
      <c r="E40" s="2">
        <f t="shared" ref="E40:H40" si="11">IFERROR((($D$5/2)+$D$6)*SIN(RADIANS(E32))-(E35/TAN(RADIANS(E32)))-(9800*E38^2/2),"")</f>
        <v>92.449985432445573</v>
      </c>
      <c r="F40" s="2">
        <f t="shared" si="11"/>
        <v>76.603386680972221</v>
      </c>
      <c r="G40" s="2">
        <f t="shared" si="11"/>
        <v>68.105792196112418</v>
      </c>
      <c r="H40" s="2">
        <f t="shared" si="11"/>
        <v>68.211833139255191</v>
      </c>
      <c r="I40" s="2" t="s">
        <v>0</v>
      </c>
    </row>
    <row r="41" spans="2:9" hidden="1" x14ac:dyDescent="0.25">
      <c r="I41" s="2"/>
    </row>
    <row r="42" spans="2:9" hidden="1" x14ac:dyDescent="0.25">
      <c r="C42" s="1" t="s">
        <v>23</v>
      </c>
      <c r="D42" s="3">
        <f>IFERROR(D27-D40,"")</f>
        <v>-113.25093069285427</v>
      </c>
      <c r="E42" s="3">
        <f t="shared" ref="E42:H42" si="12">IFERROR(E27-E40,"")</f>
        <v>-115.42783653763388</v>
      </c>
      <c r="F42" s="3">
        <f t="shared" si="12"/>
        <v>-127.07743311412338</v>
      </c>
      <c r="G42" s="3">
        <f t="shared" si="12"/>
        <v>-148.8178068322953</v>
      </c>
      <c r="H42" s="3">
        <f t="shared" si="12"/>
        <v>-180.07135466836544</v>
      </c>
      <c r="I42" s="2" t="s">
        <v>0</v>
      </c>
    </row>
    <row r="43" spans="2:9" hidden="1" x14ac:dyDescent="0.25">
      <c r="D43" s="3"/>
      <c r="I43" s="2"/>
    </row>
    <row r="44" spans="2:9" hidden="1" x14ac:dyDescent="0.25">
      <c r="C44" s="1" t="s">
        <v>24</v>
      </c>
      <c r="D44" s="3">
        <v>-50</v>
      </c>
      <c r="E44" s="3">
        <v>-50</v>
      </c>
      <c r="F44" s="3">
        <v>-50</v>
      </c>
      <c r="G44" s="3">
        <v>-50</v>
      </c>
      <c r="H44" s="3">
        <v>-50</v>
      </c>
      <c r="I44" s="2" t="s">
        <v>0</v>
      </c>
    </row>
    <row r="46" spans="2:9" hidden="1" x14ac:dyDescent="0.25">
      <c r="D46" s="2" t="str">
        <f>IF(OR(D42&lt;D44,D42=""),"OK","ATENÇÃO")</f>
        <v>OK</v>
      </c>
      <c r="E46" s="2" t="str">
        <f t="shared" ref="E46:H46" si="13">IF(OR(E42&lt;E44,E42=""),"OK","ATENÇÃO")</f>
        <v>OK</v>
      </c>
      <c r="F46" s="2" t="str">
        <f t="shared" si="13"/>
        <v>OK</v>
      </c>
      <c r="G46" s="2" t="str">
        <f t="shared" si="13"/>
        <v>OK</v>
      </c>
      <c r="H46" s="2" t="str">
        <f t="shared" si="13"/>
        <v>OK</v>
      </c>
    </row>
    <row r="47" spans="2:9" x14ac:dyDescent="0.25"/>
    <row r="48" spans="2:9" ht="30" customHeight="1" x14ac:dyDescent="0.25">
      <c r="B48" s="25" t="str">
        <f>IF(AND(D46="OK",E46="OK",F46="OK",G46="OK",H46="OK"),"POSIÇÃO ESTÁ OK","ATENÇÃO, TRAJETÓRIA DE MATERIAL PODERÁ COLIDIR COM A LÂMINA! AJUSTAR ÂNGULO α")</f>
        <v>POSIÇÃO ESTÁ OK</v>
      </c>
      <c r="C48" s="26"/>
      <c r="D48" s="26"/>
      <c r="E48" s="27"/>
    </row>
    <row r="49" spans="2:12" x14ac:dyDescent="0.25"/>
    <row r="50" spans="2:12" ht="15" customHeight="1" x14ac:dyDescent="0.25">
      <c r="B50" s="33" t="s">
        <v>70</v>
      </c>
      <c r="C50" s="34"/>
      <c r="D50" s="34"/>
      <c r="E50" s="35"/>
    </row>
    <row r="51" spans="2:12" ht="15" customHeight="1" x14ac:dyDescent="0.25">
      <c r="B51" s="14" t="s">
        <v>64</v>
      </c>
      <c r="C51" s="10" t="s">
        <v>28</v>
      </c>
      <c r="D51" s="23">
        <f>90-DEGREES(ASIN(D52/D54))-ABS(DEGREES(ASIN(D15/D54)))</f>
        <v>7.3905639131162104E-2</v>
      </c>
      <c r="E51" s="5" t="s">
        <v>2</v>
      </c>
      <c r="L51" s="19"/>
    </row>
    <row r="52" spans="2:12" ht="15" customHeight="1" x14ac:dyDescent="0.25">
      <c r="B52" s="12" t="s">
        <v>66</v>
      </c>
      <c r="C52" s="1" t="s">
        <v>56</v>
      </c>
      <c r="D52" s="21">
        <f>SQRT(D54^2-D53^2)</f>
        <v>209.14349141199685</v>
      </c>
      <c r="E52" s="6" t="s">
        <v>0</v>
      </c>
    </row>
    <row r="53" spans="2:12" ht="15" customHeight="1" x14ac:dyDescent="0.25">
      <c r="B53" s="12" t="s">
        <v>67</v>
      </c>
      <c r="C53" s="1" t="s">
        <v>57</v>
      </c>
      <c r="D53" s="22">
        <v>-222</v>
      </c>
      <c r="E53" s="6" t="s">
        <v>0</v>
      </c>
      <c r="F53" s="9" t="s">
        <v>54</v>
      </c>
    </row>
    <row r="54" spans="2:12" ht="15" customHeight="1" x14ac:dyDescent="0.25">
      <c r="B54" s="13" t="s">
        <v>68</v>
      </c>
      <c r="C54" s="11" t="s">
        <v>55</v>
      </c>
      <c r="D54" s="8">
        <f>D21</f>
        <v>305</v>
      </c>
      <c r="E54" s="7" t="s">
        <v>0</v>
      </c>
    </row>
    <row r="55" spans="2:12" ht="15" customHeight="1" x14ac:dyDescent="0.25">
      <c r="B55" s="15" t="s">
        <v>53</v>
      </c>
    </row>
    <row r="56" spans="2:12" hidden="1" x14ac:dyDescent="0.25">
      <c r="C56" s="1" t="s">
        <v>13</v>
      </c>
      <c r="D56" s="2" t="s">
        <v>30</v>
      </c>
      <c r="E56" s="2" t="s">
        <v>31</v>
      </c>
      <c r="F56" s="2" t="s">
        <v>32</v>
      </c>
      <c r="G56" s="2" t="s">
        <v>33</v>
      </c>
      <c r="H56" s="2" t="s">
        <v>34</v>
      </c>
    </row>
    <row r="57" spans="2:12" hidden="1" x14ac:dyDescent="0.25">
      <c r="C57" s="1" t="s">
        <v>3</v>
      </c>
      <c r="D57" s="4">
        <f>VLOOKUP($D$4,Dados!$A$2:$AZ$6,3,FALSE)</f>
        <v>0</v>
      </c>
      <c r="E57" s="4">
        <f>VLOOKUP($D$4,Dados!$A$2:$AZ$6,5,FALSE)</f>
        <v>21.3</v>
      </c>
      <c r="F57" s="4">
        <f>VLOOKUP($D$4,Dados!$A$2:$AZ$6,7,FALSE)</f>
        <v>36.619999999999997</v>
      </c>
      <c r="G57" s="4">
        <f>VLOOKUP($D$4,Dados!$A$2:$AZ$6,9,FALSE)</f>
        <v>44.88</v>
      </c>
      <c r="H57" s="4">
        <f>VLOOKUP($D$4,Dados!$A$2:$AZ$6,11,FALSE)</f>
        <v>45.57</v>
      </c>
      <c r="I57" s="2" t="s">
        <v>0</v>
      </c>
    </row>
    <row r="58" spans="2:12" hidden="1" x14ac:dyDescent="0.25">
      <c r="C58" s="1" t="s">
        <v>4</v>
      </c>
      <c r="D58" s="4">
        <f>VLOOKUP($D$4,Dados!$A$2:$AZ$6,4,FALSE)</f>
        <v>221.8</v>
      </c>
      <c r="E58" s="4">
        <f>VLOOKUP($D$4,Dados!$A$2:$AZ$6,6,FALSE)</f>
        <v>199.35</v>
      </c>
      <c r="F58" s="4">
        <f>VLOOKUP($D$4,Dados!$A$2:$AZ$6,8,FALSE)</f>
        <v>172.23</v>
      </c>
      <c r="G58" s="4">
        <f>VLOOKUP($D$4,Dados!$A$2:$AZ$6,10,FALSE)</f>
        <v>142.19</v>
      </c>
      <c r="H58" s="4">
        <f>VLOOKUP($D$4,Dados!$A$2:$AZ$6,12,FALSE)</f>
        <v>111.05</v>
      </c>
      <c r="I58" s="2" t="s">
        <v>0</v>
      </c>
    </row>
    <row r="59" spans="2:12" hidden="1" x14ac:dyDescent="0.25">
      <c r="C59" s="1" t="s">
        <v>5</v>
      </c>
      <c r="D59" s="3">
        <f>$D$52+(COS(RADIANS(90-$D$51+DEGREES(ATAN($D$14/-$D$15))-DEGREES(ATAN(D57/D58))))*(SQRT(D57^2+D58^2)))</f>
        <v>214.99982113791319</v>
      </c>
      <c r="E59" s="3">
        <f t="shared" ref="E59:H59" si="14">$D$52+(COS(RADIANS(90-$D$51+DEGREES(ATAN($D$14/-$D$15))-DEGREES(ATAN(E57/E58))))*(SQRT(E57^2+E58^2)))</f>
        <v>235.69963320814173</v>
      </c>
      <c r="F59" s="3">
        <f t="shared" si="14"/>
        <v>250.29822507979921</v>
      </c>
      <c r="G59" s="3">
        <f t="shared" si="14"/>
        <v>257.7621796697477</v>
      </c>
      <c r="H59" s="3">
        <f t="shared" si="14"/>
        <v>257.62972942721768</v>
      </c>
      <c r="I59" s="2" t="s">
        <v>0</v>
      </c>
    </row>
    <row r="60" spans="2:12" hidden="1" x14ac:dyDescent="0.25">
      <c r="C60" s="1" t="s">
        <v>6</v>
      </c>
      <c r="D60" s="3">
        <f>$D$53+(SIN(RADIANS(90-$D$51+DEGREES(ATAN($D$14/-$D$15))-DEGREES(ATAN(D57/D58))))*(SQRT(D57^2+D58^2)))</f>
        <v>-0.27732772190086052</v>
      </c>
      <c r="E60" s="3">
        <f t="shared" ref="E60:H60" si="15">$D$53+(SIN(RADIANS(90-$D$51+DEGREES(ATAN($D$14/-$D$15))-DEGREES(ATAN(E57/E58))))*(SQRT(E57^2+E58^2)))</f>
        <v>-23.281898577650821</v>
      </c>
      <c r="F60" s="3">
        <f t="shared" si="15"/>
        <v>-50.79694746666388</v>
      </c>
      <c r="G60" s="3">
        <f t="shared" si="15"/>
        <v>-81.044568561209246</v>
      </c>
      <c r="H60" s="3">
        <f t="shared" si="15"/>
        <v>-112.19193051905816</v>
      </c>
      <c r="I60" s="2" t="s">
        <v>0</v>
      </c>
    </row>
    <row r="61" spans="2:12" hidden="1" x14ac:dyDescent="0.25">
      <c r="C61" s="1" t="s">
        <v>7</v>
      </c>
      <c r="D61" s="3">
        <f>SQRT(D59^2+D60^2)</f>
        <v>214.99999999999997</v>
      </c>
      <c r="E61" s="3">
        <f t="shared" ref="E61:H61" si="16">SQRT(E59^2+E60^2)</f>
        <v>236.84670970024592</v>
      </c>
      <c r="F61" s="3">
        <f t="shared" si="16"/>
        <v>255.40072699588941</v>
      </c>
      <c r="G61" s="3">
        <f t="shared" si="16"/>
        <v>270.20281893676059</v>
      </c>
      <c r="H61" s="3">
        <f t="shared" si="16"/>
        <v>280.99841059752379</v>
      </c>
      <c r="I61" s="2" t="s">
        <v>0</v>
      </c>
    </row>
    <row r="62" spans="2:12" hidden="1" x14ac:dyDescent="0.25">
      <c r="I62" s="2"/>
    </row>
    <row r="63" spans="2:12" hidden="1" x14ac:dyDescent="0.25">
      <c r="C63" s="1" t="s">
        <v>14</v>
      </c>
      <c r="D63" s="1">
        <f>(($G$7^2)/(9800*(($D$5/2)+$D$6)))</f>
        <v>1.0678690080683435</v>
      </c>
      <c r="E63" s="1">
        <f t="shared" ref="E63:H63" si="17">(($G$7^2)/(9800*(($D$5/2)+$D$6)))</f>
        <v>1.0678690080683435</v>
      </c>
      <c r="F63" s="1">
        <f t="shared" si="17"/>
        <v>1.0678690080683435</v>
      </c>
      <c r="G63" s="1">
        <f t="shared" si="17"/>
        <v>1.0678690080683435</v>
      </c>
      <c r="H63" s="1">
        <f t="shared" si="17"/>
        <v>1.0678690080683435</v>
      </c>
      <c r="I63" s="2" t="s">
        <v>29</v>
      </c>
    </row>
    <row r="64" spans="2:12" hidden="1" x14ac:dyDescent="0.25">
      <c r="C64" s="1" t="s">
        <v>10</v>
      </c>
      <c r="D64" s="2" t="str">
        <f>IFERROR(DEGREES(ACOS(($G$7^2)/(9800*(($D$5/2)+$D$6)))),"")</f>
        <v/>
      </c>
      <c r="E64" s="2" t="str">
        <f t="shared" ref="E64:H64" si="18">IFERROR(DEGREES(ACOS(($G$7^2)/(9800*(($D$5/2)+$D$6)))),"")</f>
        <v/>
      </c>
      <c r="F64" s="2" t="str">
        <f t="shared" si="18"/>
        <v/>
      </c>
      <c r="G64" s="2" t="str">
        <f t="shared" si="18"/>
        <v/>
      </c>
      <c r="H64" s="2" t="str">
        <f t="shared" si="18"/>
        <v/>
      </c>
      <c r="I64" s="2" t="s">
        <v>2</v>
      </c>
    </row>
    <row r="65" spans="3:9" hidden="1" x14ac:dyDescent="0.25">
      <c r="C65" s="1" t="s">
        <v>11</v>
      </c>
      <c r="D65" s="2">
        <f>IFERROR(90-D64,90+$D$8)</f>
        <v>100</v>
      </c>
      <c r="E65" s="2">
        <f t="shared" ref="E65:H65" si="19">IFERROR(90-E64,90+$D$8)</f>
        <v>100</v>
      </c>
      <c r="F65" s="2">
        <f t="shared" si="19"/>
        <v>100</v>
      </c>
      <c r="G65" s="2">
        <f t="shared" si="19"/>
        <v>100</v>
      </c>
      <c r="H65" s="2">
        <f t="shared" si="19"/>
        <v>100</v>
      </c>
      <c r="I65" s="2" t="s">
        <v>2</v>
      </c>
    </row>
    <row r="66" spans="3:9" hidden="1" x14ac:dyDescent="0.25">
      <c r="C66" s="1" t="s">
        <v>15</v>
      </c>
      <c r="D66" s="2">
        <f>IFERROR((($D$5/2)+$D$6)*COS(RADIANS(D65)),"")</f>
        <v>-37.334358198390014</v>
      </c>
      <c r="E66" s="2">
        <f t="shared" ref="E66:H66" si="20">IFERROR((($D$5/2)+$D$6)*COS(RADIANS(E65)),"")</f>
        <v>-37.334358198390014</v>
      </c>
      <c r="F66" s="2">
        <f t="shared" si="20"/>
        <v>-37.334358198390014</v>
      </c>
      <c r="G66" s="2">
        <f t="shared" si="20"/>
        <v>-37.334358198390014</v>
      </c>
      <c r="H66" s="2">
        <f t="shared" si="20"/>
        <v>-37.334358198390014</v>
      </c>
      <c r="I66" s="2" t="s">
        <v>0</v>
      </c>
    </row>
    <row r="67" spans="3:9" hidden="1" x14ac:dyDescent="0.25">
      <c r="C67" s="1" t="s">
        <v>16</v>
      </c>
      <c r="D67" s="2">
        <f>IFERROR((($D$5/2)+$D$6)*SIN(RADIANS(D65)),"")</f>
        <v>211.73366689762472</v>
      </c>
      <c r="E67" s="2">
        <f t="shared" ref="E67:H67" si="21">IFERROR((($D$5/2)+$D$6)*SIN(RADIANS(E65)),"")</f>
        <v>211.73366689762472</v>
      </c>
      <c r="F67" s="2">
        <f t="shared" si="21"/>
        <v>211.73366689762472</v>
      </c>
      <c r="G67" s="2">
        <f t="shared" si="21"/>
        <v>211.73366689762472</v>
      </c>
      <c r="H67" s="2">
        <f t="shared" si="21"/>
        <v>211.73366689762472</v>
      </c>
      <c r="I67" s="2" t="s">
        <v>0</v>
      </c>
    </row>
    <row r="68" spans="3:9" hidden="1" x14ac:dyDescent="0.25">
      <c r="C68" s="1" t="s">
        <v>17</v>
      </c>
      <c r="D68" s="3">
        <f>IFERROR(D59-D66,"")</f>
        <v>252.33417933630321</v>
      </c>
      <c r="E68" s="3">
        <f t="shared" ref="E68:H68" si="22">IFERROR(E59-E66,"")</f>
        <v>273.03399140653175</v>
      </c>
      <c r="F68" s="3">
        <f t="shared" si="22"/>
        <v>287.6325832781892</v>
      </c>
      <c r="G68" s="3">
        <f t="shared" si="22"/>
        <v>295.09653786813772</v>
      </c>
      <c r="H68" s="3">
        <f t="shared" si="22"/>
        <v>294.9640876256077</v>
      </c>
      <c r="I68" s="2" t="s">
        <v>0</v>
      </c>
    </row>
    <row r="69" spans="3:9" hidden="1" x14ac:dyDescent="0.25">
      <c r="C69" s="1" t="s">
        <v>18</v>
      </c>
      <c r="D69" s="2">
        <f>IFERROR(D68/TAN(RADIANS(D65)),"")</f>
        <v>-44.493323971918663</v>
      </c>
      <c r="E69" s="2">
        <f t="shared" ref="E69:H69" si="23">IFERROR(E68/TAN(RADIANS(E65)),"")</f>
        <v>-48.143259335494704</v>
      </c>
      <c r="F69" s="2">
        <f t="shared" si="23"/>
        <v>-50.717384962819196</v>
      </c>
      <c r="G69" s="2">
        <f t="shared" si="23"/>
        <v>-52.033481539809905</v>
      </c>
      <c r="H69" s="2">
        <f t="shared" si="23"/>
        <v>-52.010126988450487</v>
      </c>
      <c r="I69" s="2" t="s">
        <v>0</v>
      </c>
    </row>
    <row r="70" spans="3:9" hidden="1" x14ac:dyDescent="0.25">
      <c r="C70" s="1" t="s">
        <v>19</v>
      </c>
      <c r="D70" s="2">
        <f>IFERROR(D68/SIN(RADIANS(D65)),"")</f>
        <v>256.22684078643232</v>
      </c>
      <c r="E70" s="2">
        <f t="shared" ref="E70:H70" si="24">IFERROR(E68/SIN(RADIANS(E65)),"")</f>
        <v>277.24598082357619</v>
      </c>
      <c r="F70" s="2">
        <f t="shared" si="24"/>
        <v>292.06977950611605</v>
      </c>
      <c r="G70" s="2">
        <f t="shared" si="24"/>
        <v>299.64887762665654</v>
      </c>
      <c r="H70" s="2">
        <f t="shared" si="24"/>
        <v>299.51438412564085</v>
      </c>
      <c r="I70" s="2" t="s">
        <v>0</v>
      </c>
    </row>
    <row r="71" spans="3:9" hidden="1" x14ac:dyDescent="0.25">
      <c r="C71" s="1" t="s">
        <v>20</v>
      </c>
      <c r="D71" s="2">
        <f>IFERROR(D70/$G$7,"")</f>
        <v>0.17081789385762156</v>
      </c>
      <c r="E71" s="2">
        <f t="shared" ref="E71" si="25">IFERROR(E70/$G$7,"")</f>
        <v>0.18483065388238412</v>
      </c>
      <c r="F71" s="2">
        <f t="shared" ref="F71" si="26">IFERROR(F70/$G$7,"")</f>
        <v>0.19471318633741069</v>
      </c>
      <c r="G71" s="2">
        <f t="shared" ref="G71" si="27">IFERROR(G70/$G$7,"")</f>
        <v>0.19976591841777103</v>
      </c>
      <c r="H71" s="2">
        <f t="shared" ref="H71" si="28">IFERROR(H70/$G$7,"")</f>
        <v>0.19967625608376055</v>
      </c>
      <c r="I71" s="2" t="s">
        <v>9</v>
      </c>
    </row>
    <row r="72" spans="3:9" hidden="1" x14ac:dyDescent="0.25">
      <c r="C72" s="1" t="s">
        <v>21</v>
      </c>
      <c r="D72" s="2">
        <f>IFERROR(9800*D71^2/2,"")</f>
        <v>142.97588902357296</v>
      </c>
      <c r="E72" s="2">
        <f t="shared" ref="E72:H72" si="29">IFERROR(9800*E71^2/2,"")</f>
        <v>167.39561601148941</v>
      </c>
      <c r="F72" s="2">
        <f t="shared" si="29"/>
        <v>185.77480217496935</v>
      </c>
      <c r="G72" s="2">
        <f t="shared" si="29"/>
        <v>195.54146859034819</v>
      </c>
      <c r="H72" s="2">
        <f t="shared" si="29"/>
        <v>195.36597549377487</v>
      </c>
      <c r="I72" s="2" t="s">
        <v>0</v>
      </c>
    </row>
    <row r="73" spans="3:9" hidden="1" x14ac:dyDescent="0.25">
      <c r="C73" s="1" t="s">
        <v>22</v>
      </c>
      <c r="D73" s="2">
        <f>IFERROR((($D$5/2)+$D$6)*SIN(RADIANS(D65))-(D68/TAN(RADIANS(D65)))-(9800*D71^2/2),"")</f>
        <v>113.25110184597042</v>
      </c>
      <c r="E73" s="2">
        <f t="shared" ref="E73:H73" si="30">IFERROR((($D$5/2)+$D$6)*SIN(RADIANS(E65))-(E68/TAN(RADIANS(E65)))-(9800*E71^2/2),"")</f>
        <v>92.481310221630025</v>
      </c>
      <c r="F73" s="2">
        <f t="shared" si="30"/>
        <v>76.676249685474545</v>
      </c>
      <c r="G73" s="2">
        <f t="shared" si="30"/>
        <v>68.22567984708644</v>
      </c>
      <c r="H73" s="2">
        <f t="shared" si="30"/>
        <v>68.377818392300327</v>
      </c>
      <c r="I73" s="2" t="s">
        <v>0</v>
      </c>
    </row>
    <row r="74" spans="3:9" hidden="1" x14ac:dyDescent="0.25">
      <c r="I74" s="2"/>
    </row>
    <row r="75" spans="3:9" hidden="1" x14ac:dyDescent="0.25">
      <c r="C75" s="1" t="s">
        <v>23</v>
      </c>
      <c r="D75" s="3">
        <f>IFERROR(D60-D73,"")</f>
        <v>-113.52842956787129</v>
      </c>
      <c r="E75" s="3">
        <f t="shared" ref="E75:H75" si="31">IFERROR(E60-E73,"")</f>
        <v>-115.76320879928085</v>
      </c>
      <c r="F75" s="3">
        <f t="shared" si="31"/>
        <v>-127.47319715213843</v>
      </c>
      <c r="G75" s="3">
        <f t="shared" si="31"/>
        <v>-149.27024840829569</v>
      </c>
      <c r="H75" s="3">
        <f t="shared" si="31"/>
        <v>-180.56974891135849</v>
      </c>
      <c r="I75" s="2" t="s">
        <v>0</v>
      </c>
    </row>
    <row r="76" spans="3:9" hidden="1" x14ac:dyDescent="0.25">
      <c r="D76" s="3"/>
      <c r="I76" s="2"/>
    </row>
    <row r="77" spans="3:9" hidden="1" x14ac:dyDescent="0.25">
      <c r="C77" s="1" t="s">
        <v>24</v>
      </c>
      <c r="D77" s="3">
        <v>-50</v>
      </c>
      <c r="E77" s="3">
        <v>-50</v>
      </c>
      <c r="F77" s="3">
        <v>-50</v>
      </c>
      <c r="G77" s="3">
        <v>-50</v>
      </c>
      <c r="H77" s="3">
        <v>-50</v>
      </c>
      <c r="I77" s="2" t="s">
        <v>0</v>
      </c>
    </row>
    <row r="79" spans="3:9" hidden="1" x14ac:dyDescent="0.25">
      <c r="D79" s="2" t="str">
        <f>IF(OR(D75&lt;D77,D75=""),"OK","ATENÇÃO")</f>
        <v>OK</v>
      </c>
      <c r="E79" s="2" t="str">
        <f t="shared" ref="E79:H79" si="32">IF(OR(E75&lt;E77,E75=""),"OK","ATENÇÃO")</f>
        <v>OK</v>
      </c>
      <c r="F79" s="2" t="str">
        <f t="shared" si="32"/>
        <v>OK</v>
      </c>
      <c r="G79" s="2" t="str">
        <f t="shared" si="32"/>
        <v>OK</v>
      </c>
      <c r="H79" s="2" t="str">
        <f t="shared" si="32"/>
        <v>OK</v>
      </c>
    </row>
    <row r="80" spans="3:9" x14ac:dyDescent="0.25"/>
    <row r="81" spans="2:5" ht="30" customHeight="1" x14ac:dyDescent="0.25">
      <c r="B81" s="25" t="str">
        <f>IF(AND(D79="OK",E79="OK",F79="OK",G79="OK",H79="OK"),"POSIÇÃO ESTÁ OK","ATENÇÃO, TRAJETÓRIA DE MATERIAL PODERÁ COLIDIR COM A LÂMINA! AJUSTAR ÂNGULO α")</f>
        <v>POSIÇÃO ESTÁ OK</v>
      </c>
      <c r="C81" s="26"/>
      <c r="D81" s="26"/>
      <c r="E81" s="27"/>
    </row>
    <row r="82" spans="2:5" x14ac:dyDescent="0.25"/>
  </sheetData>
  <sheetProtection algorithmName="SHA-512" hashValue="l8dWbeGMWqVLi0IjNjUEE3Chaoe4rqAMBQZxY/5CB7q6MZFMtNR/OgQQaShDEJowgurUAQ4LW4j5B6F3NkCgOw==" saltValue="BBfWy4JOD5wRqxBXG2F04g==" spinCount="100000" sheet="1" objects="1" scenarios="1" selectLockedCells="1"/>
  <mergeCells count="6">
    <mergeCell ref="B81:E81"/>
    <mergeCell ref="B4:C4"/>
    <mergeCell ref="B48:E48"/>
    <mergeCell ref="B2:E2"/>
    <mergeCell ref="B17:E17"/>
    <mergeCell ref="B50:E50"/>
  </mergeCells>
  <phoneticPr fontId="2" type="noConversion"/>
  <conditionalFormatting sqref="B48:E48">
    <cfRule type="cellIs" dxfId="3" priority="3" operator="notEqual">
      <formula>"POSIÇÃO ESTÁ OK"</formula>
    </cfRule>
    <cfRule type="cellIs" dxfId="2" priority="4" operator="equal">
      <formula>"POSIÇÃO ESTÁ OK"</formula>
    </cfRule>
  </conditionalFormatting>
  <conditionalFormatting sqref="B81:E81">
    <cfRule type="cellIs" dxfId="1" priority="1" operator="notEqual">
      <formula>"POSIÇÃO ESTÁ OK"</formula>
    </cfRule>
    <cfRule type="cellIs" dxfId="0" priority="2" operator="equal">
      <formula>"POSIÇÃO ESTÁ OK"</formula>
    </cfRule>
  </conditionalFormatting>
  <dataValidations count="5">
    <dataValidation type="whole" allowBlank="1" showInputMessage="1" showErrorMessage="1" errorTitle="Dado inválido!" error="Considere valores entre 250 e 2400" sqref="D5" xr:uid="{835BFFEF-98EB-439A-8B8F-55075B467011}">
      <formula1>250</formula1>
      <formula2>2400</formula2>
    </dataValidation>
    <dataValidation type="whole" allowBlank="1" showInputMessage="1" showErrorMessage="1" errorTitle="Dado inválido!" error="Considere valores entre 0 e 35" sqref="D6" xr:uid="{253A9AFE-538E-4A61-A526-F37E61FA3AFB}">
      <formula1>0</formula1>
      <formula2>35</formula2>
    </dataValidation>
    <dataValidation type="decimal" allowBlank="1" showInputMessage="1" showErrorMessage="1" errorTitle="Dado inválido!" error="Considere valores entre -30 e 90" sqref="D18 D51" xr:uid="{814EA191-AB7D-4421-966E-0ACF5516E245}">
      <formula1>-30</formula1>
      <formula2>90</formula2>
    </dataValidation>
    <dataValidation type="decimal" allowBlank="1" showInputMessage="1" showErrorMessage="1" errorTitle="Dado inválido!" error="Considere valores entre -20 e 20" sqref="D8" xr:uid="{548D9A99-6D33-4E76-BAC8-49979E220152}">
      <formula1>-20</formula1>
      <formula2>20</formula2>
    </dataValidation>
    <dataValidation type="list" allowBlank="1" showInputMessage="1" showErrorMessage="1" sqref="C7" xr:uid="{2B5BA51C-497B-4491-804A-EB2419A721DD}">
      <formula1>"VELOC. CORREIA,ROT. SAÍDA REDUTOR"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2B0A9F98-4D0B-43CE-9767-DE72B5121EAD}">
          <x14:formula1>
            <xm:f>Dados!$A$3:$A$6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2BB38-9F03-40DC-B12E-4851D55D4253}">
  <dimension ref="A1:AZ6"/>
  <sheetViews>
    <sheetView workbookViewId="0">
      <pane xSplit="1" topLeftCell="B1" activePane="topRight" state="frozen"/>
      <selection pane="topRight" activeCell="D6" sqref="D6"/>
    </sheetView>
  </sheetViews>
  <sheetFormatPr defaultRowHeight="15" x14ac:dyDescent="0.25"/>
  <cols>
    <col min="1" max="1" width="13.7109375" style="2" customWidth="1"/>
    <col min="2" max="16384" width="9.140625" style="2"/>
  </cols>
  <sheetData>
    <row r="1" spans="1:52" x14ac:dyDescent="0.25">
      <c r="C1" s="37" t="s">
        <v>52</v>
      </c>
      <c r="D1" s="37"/>
      <c r="E1" s="37"/>
      <c r="F1" s="37"/>
      <c r="G1" s="37"/>
      <c r="H1" s="37"/>
      <c r="I1" s="37"/>
      <c r="J1" s="37"/>
      <c r="K1" s="37"/>
      <c r="L1" s="37"/>
      <c r="M1" s="36" t="s">
        <v>51</v>
      </c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</row>
    <row r="2" spans="1:52" x14ac:dyDescent="0.25">
      <c r="A2" s="2" t="s">
        <v>35</v>
      </c>
      <c r="B2" s="2" t="s">
        <v>40</v>
      </c>
      <c r="C2" s="2" t="s">
        <v>41</v>
      </c>
      <c r="D2" s="2" t="s">
        <v>42</v>
      </c>
      <c r="E2" s="2" t="s">
        <v>43</v>
      </c>
      <c r="F2" s="2" t="s">
        <v>44</v>
      </c>
      <c r="G2" s="2" t="s">
        <v>45</v>
      </c>
      <c r="H2" s="2" t="s">
        <v>46</v>
      </c>
      <c r="I2" s="2" t="s">
        <v>47</v>
      </c>
      <c r="J2" s="2" t="s">
        <v>48</v>
      </c>
      <c r="K2" s="2" t="s">
        <v>49</v>
      </c>
      <c r="L2" s="2" t="s">
        <v>50</v>
      </c>
      <c r="M2" s="2">
        <v>50</v>
      </c>
      <c r="N2" s="2">
        <v>100</v>
      </c>
      <c r="O2" s="2">
        <v>150</v>
      </c>
      <c r="P2" s="2">
        <v>200</v>
      </c>
      <c r="Q2" s="2">
        <v>250</v>
      </c>
      <c r="R2" s="2">
        <v>300</v>
      </c>
      <c r="S2" s="2">
        <v>350</v>
      </c>
      <c r="T2" s="2">
        <v>400</v>
      </c>
      <c r="U2" s="2">
        <v>450</v>
      </c>
      <c r="V2" s="2">
        <v>500</v>
      </c>
      <c r="W2" s="2">
        <v>550</v>
      </c>
      <c r="X2" s="2">
        <v>600</v>
      </c>
      <c r="Y2" s="2">
        <v>650</v>
      </c>
      <c r="Z2" s="2">
        <v>700</v>
      </c>
      <c r="AA2" s="2">
        <v>750</v>
      </c>
      <c r="AB2" s="2">
        <v>800</v>
      </c>
      <c r="AC2" s="2">
        <v>850</v>
      </c>
      <c r="AD2" s="2">
        <v>900</v>
      </c>
      <c r="AE2" s="2">
        <v>950</v>
      </c>
      <c r="AF2" s="2">
        <v>1000</v>
      </c>
      <c r="AG2" s="2">
        <v>1050</v>
      </c>
      <c r="AH2" s="2">
        <v>1100</v>
      </c>
      <c r="AI2" s="2">
        <v>1150</v>
      </c>
      <c r="AJ2" s="2">
        <v>1200</v>
      </c>
      <c r="AK2" s="2">
        <v>1250</v>
      </c>
      <c r="AL2" s="2">
        <v>1300</v>
      </c>
      <c r="AM2" s="2">
        <v>1350</v>
      </c>
      <c r="AN2" s="2">
        <v>1400</v>
      </c>
      <c r="AO2" s="2">
        <v>1450</v>
      </c>
      <c r="AP2" s="2">
        <v>1500</v>
      </c>
      <c r="AQ2" s="2">
        <v>1550</v>
      </c>
      <c r="AR2" s="2">
        <v>1600</v>
      </c>
      <c r="AS2" s="2">
        <v>1650</v>
      </c>
      <c r="AT2" s="2">
        <v>1700</v>
      </c>
      <c r="AU2" s="2">
        <v>1750</v>
      </c>
      <c r="AV2" s="2">
        <v>1800</v>
      </c>
      <c r="AW2" s="2">
        <v>1850</v>
      </c>
      <c r="AX2" s="2">
        <v>1900</v>
      </c>
      <c r="AY2" s="2">
        <v>1950</v>
      </c>
      <c r="AZ2" s="2">
        <v>2000</v>
      </c>
    </row>
    <row r="3" spans="1:52" x14ac:dyDescent="0.25">
      <c r="A3" s="2" t="s">
        <v>37</v>
      </c>
      <c r="B3" s="2">
        <v>221.8</v>
      </c>
      <c r="C3" s="2">
        <v>0</v>
      </c>
      <c r="D3" s="2">
        <v>221.8</v>
      </c>
      <c r="E3" s="2">
        <v>21.3</v>
      </c>
      <c r="F3" s="2">
        <v>199.35</v>
      </c>
      <c r="G3" s="2">
        <v>36.619999999999997</v>
      </c>
      <c r="H3" s="2">
        <v>172.23</v>
      </c>
      <c r="I3" s="2">
        <v>44.88</v>
      </c>
      <c r="J3" s="2">
        <v>142.19</v>
      </c>
      <c r="K3" s="2">
        <v>45.57</v>
      </c>
      <c r="L3" s="2">
        <v>111.05</v>
      </c>
      <c r="M3" s="2">
        <v>120</v>
      </c>
      <c r="N3" s="2">
        <v>120</v>
      </c>
      <c r="O3" s="2">
        <v>120</v>
      </c>
      <c r="P3" s="2">
        <v>115</v>
      </c>
      <c r="Q3" s="2">
        <v>105</v>
      </c>
      <c r="R3" s="2">
        <v>90</v>
      </c>
      <c r="S3" s="2">
        <v>90</v>
      </c>
      <c r="T3" s="2">
        <v>90</v>
      </c>
      <c r="U3" s="2">
        <v>90</v>
      </c>
      <c r="V3" s="2">
        <v>90</v>
      </c>
      <c r="W3" s="2">
        <v>90</v>
      </c>
      <c r="X3" s="2">
        <v>90</v>
      </c>
      <c r="Y3" s="2">
        <v>90</v>
      </c>
      <c r="Z3" s="2">
        <v>90</v>
      </c>
      <c r="AA3" s="2">
        <v>90</v>
      </c>
      <c r="AB3" s="2">
        <v>90</v>
      </c>
      <c r="AC3" s="2">
        <v>90</v>
      </c>
      <c r="AD3" s="2">
        <v>90</v>
      </c>
      <c r="AE3" s="2">
        <v>90</v>
      </c>
      <c r="AF3" s="2">
        <v>90</v>
      </c>
      <c r="AG3" s="2">
        <v>90</v>
      </c>
      <c r="AH3" s="2">
        <v>90</v>
      </c>
      <c r="AI3" s="2">
        <v>90</v>
      </c>
      <c r="AJ3" s="2">
        <v>90</v>
      </c>
      <c r="AK3" s="2">
        <v>90</v>
      </c>
      <c r="AL3" s="2">
        <v>90</v>
      </c>
      <c r="AM3" s="2">
        <v>90</v>
      </c>
      <c r="AN3" s="2">
        <v>90</v>
      </c>
      <c r="AO3" s="2">
        <v>90</v>
      </c>
      <c r="AP3" s="2">
        <v>90</v>
      </c>
      <c r="AQ3" s="2">
        <v>90</v>
      </c>
      <c r="AR3" s="2">
        <v>90</v>
      </c>
      <c r="AS3" s="2">
        <v>90</v>
      </c>
      <c r="AT3" s="2">
        <v>90</v>
      </c>
      <c r="AU3" s="2">
        <v>90</v>
      </c>
      <c r="AV3" s="2">
        <v>90</v>
      </c>
      <c r="AW3" s="2">
        <v>90</v>
      </c>
      <c r="AX3" s="2">
        <v>90</v>
      </c>
      <c r="AY3" s="2">
        <v>90</v>
      </c>
      <c r="AZ3" s="2">
        <v>90</v>
      </c>
    </row>
    <row r="4" spans="1:52" x14ac:dyDescent="0.25">
      <c r="A4" s="2" t="s">
        <v>36</v>
      </c>
      <c r="B4" s="2">
        <v>327.13</v>
      </c>
      <c r="C4" s="2">
        <v>0</v>
      </c>
      <c r="D4" s="2">
        <v>327.13</v>
      </c>
      <c r="E4" s="2">
        <v>47.88</v>
      </c>
      <c r="F4" s="2">
        <v>296.98</v>
      </c>
      <c r="G4" s="2">
        <v>53.6</v>
      </c>
      <c r="H4" s="2">
        <v>256.77999999999997</v>
      </c>
      <c r="I4" s="2">
        <v>58.46</v>
      </c>
      <c r="J4" s="2">
        <v>223.72</v>
      </c>
      <c r="K4" s="2">
        <v>63.24</v>
      </c>
      <c r="L4" s="2">
        <v>190.67</v>
      </c>
      <c r="M4" s="2">
        <v>146</v>
      </c>
      <c r="N4" s="2">
        <v>146</v>
      </c>
      <c r="O4" s="2">
        <v>146</v>
      </c>
      <c r="P4" s="2">
        <v>146</v>
      </c>
      <c r="Q4" s="2">
        <v>146</v>
      </c>
      <c r="R4" s="2">
        <v>146</v>
      </c>
      <c r="S4" s="2">
        <v>146</v>
      </c>
      <c r="T4" s="2">
        <v>140</v>
      </c>
      <c r="U4" s="2">
        <v>140</v>
      </c>
      <c r="V4" s="2">
        <v>133</v>
      </c>
      <c r="W4" s="2">
        <v>133</v>
      </c>
      <c r="X4" s="2">
        <v>133</v>
      </c>
      <c r="Y4" s="2">
        <v>120</v>
      </c>
      <c r="Z4" s="2">
        <v>120</v>
      </c>
      <c r="AA4" s="2">
        <v>120</v>
      </c>
      <c r="AB4" s="2">
        <v>120</v>
      </c>
      <c r="AC4" s="2">
        <v>120</v>
      </c>
      <c r="AD4" s="2">
        <v>120</v>
      </c>
      <c r="AE4" s="2">
        <v>120</v>
      </c>
      <c r="AF4" s="2">
        <v>120</v>
      </c>
      <c r="AG4" s="2">
        <v>120</v>
      </c>
      <c r="AH4" s="2">
        <v>120</v>
      </c>
      <c r="AI4" s="2">
        <v>120</v>
      </c>
      <c r="AJ4" s="2">
        <v>120</v>
      </c>
      <c r="AK4" s="2">
        <v>120</v>
      </c>
      <c r="AL4" s="2">
        <v>120</v>
      </c>
      <c r="AM4" s="2">
        <v>120</v>
      </c>
      <c r="AN4" s="2">
        <v>120</v>
      </c>
      <c r="AO4" s="2">
        <v>120</v>
      </c>
      <c r="AP4" s="2">
        <v>120</v>
      </c>
      <c r="AQ4" s="2">
        <v>120</v>
      </c>
      <c r="AR4" s="2">
        <v>120</v>
      </c>
      <c r="AS4" s="2">
        <v>120</v>
      </c>
      <c r="AT4" s="2">
        <v>120</v>
      </c>
      <c r="AU4" s="2">
        <v>120</v>
      </c>
      <c r="AV4" s="2">
        <v>120</v>
      </c>
      <c r="AW4" s="2">
        <v>120</v>
      </c>
      <c r="AX4" s="2">
        <v>120</v>
      </c>
      <c r="AY4" s="2">
        <v>120</v>
      </c>
      <c r="AZ4" s="2">
        <v>120</v>
      </c>
    </row>
    <row r="5" spans="1:52" x14ac:dyDescent="0.25">
      <c r="A5" s="2" t="s">
        <v>38</v>
      </c>
      <c r="B5" s="2">
        <v>360.81</v>
      </c>
      <c r="C5" s="2">
        <v>0</v>
      </c>
      <c r="D5" s="2">
        <v>360.81</v>
      </c>
      <c r="E5" s="2">
        <v>38.01</v>
      </c>
      <c r="F5" s="2">
        <v>323.7</v>
      </c>
      <c r="G5" s="2">
        <v>58.46</v>
      </c>
      <c r="H5" s="2">
        <v>274.67</v>
      </c>
      <c r="I5" s="2">
        <v>66.459999999999994</v>
      </c>
      <c r="J5" s="2">
        <v>221.2</v>
      </c>
      <c r="K5" s="2">
        <v>66.73</v>
      </c>
      <c r="L5" s="2">
        <v>169.2</v>
      </c>
      <c r="M5" s="2">
        <v>150</v>
      </c>
      <c r="N5" s="2">
        <v>150</v>
      </c>
      <c r="O5" s="2">
        <v>150</v>
      </c>
      <c r="P5" s="2">
        <v>150</v>
      </c>
      <c r="Q5" s="2">
        <v>150</v>
      </c>
      <c r="R5" s="2">
        <v>150</v>
      </c>
      <c r="S5" s="2">
        <v>150</v>
      </c>
      <c r="T5" s="2">
        <v>150</v>
      </c>
      <c r="U5" s="2">
        <v>150</v>
      </c>
      <c r="V5" s="2">
        <v>150</v>
      </c>
      <c r="W5" s="2">
        <v>150</v>
      </c>
      <c r="X5" s="2">
        <v>150</v>
      </c>
      <c r="Y5" s="2">
        <v>145</v>
      </c>
      <c r="Z5" s="2">
        <v>145</v>
      </c>
      <c r="AA5" s="2">
        <v>145</v>
      </c>
      <c r="AB5" s="2">
        <v>140</v>
      </c>
      <c r="AC5" s="2">
        <v>140</v>
      </c>
      <c r="AD5" s="2">
        <v>140</v>
      </c>
      <c r="AE5" s="2">
        <v>140</v>
      </c>
      <c r="AF5" s="2">
        <v>135</v>
      </c>
      <c r="AG5" s="2">
        <v>135</v>
      </c>
      <c r="AH5" s="2">
        <v>135</v>
      </c>
      <c r="AI5" s="2">
        <v>135</v>
      </c>
      <c r="AJ5" s="2">
        <v>135</v>
      </c>
      <c r="AK5" s="2">
        <v>130</v>
      </c>
      <c r="AL5" s="2">
        <v>130</v>
      </c>
      <c r="AM5" s="2">
        <v>130</v>
      </c>
      <c r="AN5" s="2">
        <v>125</v>
      </c>
      <c r="AO5" s="2">
        <v>125</v>
      </c>
      <c r="AP5" s="2">
        <v>125</v>
      </c>
      <c r="AQ5" s="2">
        <v>125</v>
      </c>
      <c r="AR5" s="2">
        <v>125</v>
      </c>
      <c r="AS5" s="2">
        <v>125</v>
      </c>
      <c r="AT5" s="2">
        <v>125</v>
      </c>
      <c r="AU5" s="2">
        <v>125</v>
      </c>
      <c r="AV5" s="2">
        <v>120</v>
      </c>
      <c r="AW5" s="2">
        <v>120</v>
      </c>
      <c r="AX5" s="2">
        <v>120</v>
      </c>
      <c r="AY5" s="2">
        <v>120</v>
      </c>
      <c r="AZ5" s="2">
        <v>120</v>
      </c>
    </row>
    <row r="6" spans="1:52" x14ac:dyDescent="0.25">
      <c r="A6" s="2" t="s">
        <v>39</v>
      </c>
      <c r="B6" s="2">
        <v>370</v>
      </c>
      <c r="C6" s="2">
        <v>0</v>
      </c>
      <c r="D6" s="2">
        <v>370</v>
      </c>
      <c r="E6" s="2">
        <v>35.979999999999997</v>
      </c>
      <c r="F6" s="2">
        <v>334.26</v>
      </c>
      <c r="G6" s="2">
        <v>61.58</v>
      </c>
      <c r="H6" s="2">
        <v>296.47000000000003</v>
      </c>
      <c r="I6" s="2">
        <v>77.09</v>
      </c>
      <c r="J6" s="2">
        <v>258.92</v>
      </c>
      <c r="K6" s="2">
        <v>83.24</v>
      </c>
      <c r="L6" s="2">
        <v>223.74</v>
      </c>
      <c r="M6" s="2">
        <v>150</v>
      </c>
      <c r="N6" s="2">
        <v>150</v>
      </c>
      <c r="O6" s="2">
        <v>150</v>
      </c>
      <c r="P6" s="2">
        <v>150</v>
      </c>
      <c r="Q6" s="2">
        <v>150</v>
      </c>
      <c r="R6" s="2">
        <v>150</v>
      </c>
      <c r="S6" s="2">
        <v>150</v>
      </c>
      <c r="T6" s="2">
        <v>150</v>
      </c>
      <c r="U6" s="2">
        <v>150</v>
      </c>
      <c r="V6" s="2">
        <v>150</v>
      </c>
      <c r="W6" s="2">
        <v>150</v>
      </c>
      <c r="X6" s="2">
        <v>150</v>
      </c>
      <c r="Y6" s="2">
        <v>145</v>
      </c>
      <c r="Z6" s="2">
        <v>145</v>
      </c>
      <c r="AA6" s="2">
        <v>145</v>
      </c>
      <c r="AB6" s="2">
        <v>140</v>
      </c>
      <c r="AC6" s="2">
        <v>140</v>
      </c>
      <c r="AD6" s="2">
        <v>140</v>
      </c>
      <c r="AE6" s="2">
        <v>140</v>
      </c>
      <c r="AF6" s="2">
        <v>135</v>
      </c>
      <c r="AG6" s="2">
        <v>135</v>
      </c>
      <c r="AH6" s="2">
        <v>135</v>
      </c>
      <c r="AI6" s="2">
        <v>135</v>
      </c>
      <c r="AJ6" s="2">
        <v>135</v>
      </c>
      <c r="AK6" s="2">
        <v>130</v>
      </c>
      <c r="AL6" s="2">
        <v>130</v>
      </c>
      <c r="AM6" s="2">
        <v>130</v>
      </c>
      <c r="AN6" s="2">
        <v>125</v>
      </c>
      <c r="AO6" s="2">
        <v>125</v>
      </c>
      <c r="AP6" s="2">
        <v>125</v>
      </c>
      <c r="AQ6" s="2">
        <v>125</v>
      </c>
      <c r="AR6" s="2">
        <v>125</v>
      </c>
      <c r="AS6" s="2">
        <v>125</v>
      </c>
      <c r="AT6" s="2">
        <v>125</v>
      </c>
      <c r="AU6" s="2">
        <v>125</v>
      </c>
      <c r="AV6" s="2">
        <v>120</v>
      </c>
      <c r="AW6" s="2">
        <v>120</v>
      </c>
      <c r="AX6" s="2">
        <v>120</v>
      </c>
      <c r="AY6" s="2">
        <v>120</v>
      </c>
      <c r="AZ6" s="2">
        <v>120</v>
      </c>
    </row>
  </sheetData>
  <mergeCells count="2">
    <mergeCell ref="M1:AZ1"/>
    <mergeCell ref="C1:L1"/>
  </mergeCells>
  <phoneticPr fontId="2" type="noConversion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Posicionamento_BEP</vt:lpstr>
      <vt:lpstr>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Arrivabene</dc:creator>
  <cp:lastModifiedBy>Diego Arrivabene</cp:lastModifiedBy>
  <dcterms:created xsi:type="dcterms:W3CDTF">2023-03-30T17:27:36Z</dcterms:created>
  <dcterms:modified xsi:type="dcterms:W3CDTF">2024-03-14T11:33:33Z</dcterms:modified>
</cp:coreProperties>
</file>